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Plan1" sheetId="1" r:id="rId1"/>
  </sheets>
  <externalReferences>
    <externalReference r:id="rId2"/>
  </externalReference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/>
  <c r="I49"/>
  <c r="A45"/>
  <c r="C45" s="1"/>
  <c r="C44"/>
  <c r="A40"/>
  <c r="A41" s="1"/>
  <c r="C39"/>
  <c r="A39"/>
  <c r="C38"/>
  <c r="I35"/>
  <c r="M32"/>
  <c r="L32"/>
  <c r="I29"/>
  <c r="A28"/>
  <c r="A29" s="1"/>
  <c r="C27"/>
  <c r="N25"/>
  <c r="O25" s="1"/>
  <c r="N24"/>
  <c r="N26" s="1"/>
  <c r="M22"/>
  <c r="I22"/>
  <c r="A22"/>
  <c r="A23" s="1"/>
  <c r="M21"/>
  <c r="I21"/>
  <c r="C21"/>
  <c r="M20"/>
  <c r="I20"/>
  <c r="M19"/>
  <c r="I19"/>
  <c r="R18"/>
  <c r="Q18"/>
  <c r="M18"/>
  <c r="P18" s="1"/>
  <c r="I18"/>
  <c r="T16"/>
  <c r="A15"/>
  <c r="A17" s="1"/>
  <c r="C14"/>
  <c r="C13"/>
  <c r="C12"/>
  <c r="Q11"/>
  <c r="I37" s="1"/>
  <c r="C11"/>
  <c r="C10"/>
  <c r="C9"/>
  <c r="I8"/>
  <c r="C8"/>
  <c r="K5"/>
  <c r="I5"/>
  <c r="A4"/>
  <c r="A5" s="1"/>
  <c r="C3"/>
  <c r="A3"/>
  <c r="C2"/>
  <c r="N1"/>
  <c r="Q19" l="1"/>
  <c r="A24"/>
  <c r="C23"/>
  <c r="R20"/>
  <c r="A6"/>
  <c r="C5"/>
  <c r="C17"/>
  <c r="A18"/>
  <c r="A42"/>
  <c r="C41"/>
  <c r="A32"/>
  <c r="C29"/>
  <c r="C4"/>
  <c r="P21" s="1"/>
  <c r="R19"/>
  <c r="C40"/>
  <c r="A46"/>
  <c r="N27"/>
  <c r="C22"/>
  <c r="O27"/>
  <c r="M33"/>
  <c r="P19"/>
  <c r="C28"/>
  <c r="C15"/>
  <c r="C32" l="1"/>
  <c r="A33"/>
  <c r="R22"/>
  <c r="A47"/>
  <c r="C46"/>
  <c r="C42"/>
  <c r="A43"/>
  <c r="C43" s="1"/>
  <c r="P22"/>
  <c r="A19"/>
  <c r="C18"/>
  <c r="Q20"/>
  <c r="Q21"/>
  <c r="R21"/>
  <c r="P20"/>
  <c r="A7"/>
  <c r="C7" s="1"/>
  <c r="Q26" s="1"/>
  <c r="C6"/>
  <c r="Q22"/>
  <c r="A25"/>
  <c r="C24"/>
  <c r="A48" l="1"/>
  <c r="C47"/>
  <c r="C19"/>
  <c r="A20"/>
  <c r="C20" s="1"/>
  <c r="A26"/>
  <c r="C26" s="1"/>
  <c r="C25"/>
  <c r="R26"/>
  <c r="P26"/>
  <c r="O26" s="1"/>
  <c r="A34"/>
  <c r="C34" s="1"/>
  <c r="C33"/>
  <c r="A49" l="1"/>
  <c r="C49" s="1"/>
  <c r="C48"/>
</calcChain>
</file>

<file path=xl/sharedStrings.xml><?xml version="1.0" encoding="utf-8"?>
<sst xmlns="http://schemas.openxmlformats.org/spreadsheetml/2006/main" count="117" uniqueCount="55">
  <si>
    <t>MIN</t>
  </si>
  <si>
    <t>MED</t>
  </si>
  <si>
    <t>MAX</t>
  </si>
  <si>
    <t>Construção e Reforma de Edifícios</t>
  </si>
  <si>
    <t>AC</t>
  </si>
  <si>
    <t>SG</t>
  </si>
  <si>
    <t>R</t>
  </si>
  <si>
    <t>Nº TC/CR</t>
  </si>
  <si>
    <t>PROPONENTE / TOMADOR</t>
  </si>
  <si>
    <t>DF</t>
  </si>
  <si>
    <t>L</t>
  </si>
  <si>
    <t>BDI PAD</t>
  </si>
  <si>
    <t>OBJETO</t>
  </si>
  <si>
    <t>Construção de Praças Urbanas, Rodovias, Ferrovias e recapeamento e pavimentação de vias urbanas</t>
  </si>
  <si>
    <t>TIPO DE OBRA DO EMPREENDIMENTO</t>
  </si>
  <si>
    <t>DESONERAÇÃO</t>
  </si>
  <si>
    <t>Conforme legislação tributária municipal, definir estimativa de percentual da base de cálculo para o ISS:</t>
  </si>
  <si>
    <t>Construção de Redes de Abastecimento de Água, Coleta de Esgoto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</si>
  <si>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</si>
  <si>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</si>
  <si>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</si>
  <si>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</si>
  <si>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</si>
  <si>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</si>
  <si>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</si>
  <si>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</si>
  <si>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</si>
  <si>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Construção e Manutenção de Estações e Redes de Distribuição de Energia Elétrica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</si>
  <si>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</si>
  <si>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</si>
  <si>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</si>
  <si>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</si>
  <si>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</si>
  <si>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</si>
  <si>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</si>
  <si>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Obras Portuárias, Marítimas e Fluviais</t>
  </si>
  <si>
    <t>BDI COM desoneração</t>
  </si>
  <si>
    <t>BDI DES</t>
  </si>
  <si>
    <t>Anexo: Relatório Técnico Circunstanciado justificando a adoção do percentual de cada parcela do BDI.</t>
  </si>
  <si>
    <t>Os valores de BDI foram calculados com o emprego da fórmula:</t>
  </si>
  <si>
    <t xml:space="preserve"> - 1</t>
  </si>
  <si>
    <t>Fornecimento de Materiais e Equipamentos (aquisição indireta - em conjunto com licitação de obras)</t>
  </si>
  <si>
    <t>Observações:</t>
  </si>
  <si>
    <t>Local</t>
  </si>
  <si>
    <t>Data</t>
  </si>
  <si>
    <t>Estudos e Projetos, Planos e Gerenciamento e outros correlatos</t>
  </si>
  <si>
    <t>K1</t>
  </si>
  <si>
    <t>K2</t>
  </si>
  <si>
    <t/>
  </si>
  <si>
    <t>Responsável Técnico</t>
  </si>
  <si>
    <t>Responsável Tomador</t>
  </si>
  <si>
    <t>Nome:</t>
  </si>
  <si>
    <t>K3</t>
  </si>
  <si>
    <t>Título:</t>
  </si>
  <si>
    <t>Cargo: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</si>
</sst>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General;General;"/>
    <numFmt numFmtId="166" formatCode="[$-F800]dddd\,\ mmmm\ dd\,\ yyyy"/>
    <numFmt numFmtId="167" formatCode="dd\ &quot;de&quot;\ mmmm\ &quot;de&quot;\ 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u/>
      <sz val="15"/>
      <name val="Arial"/>
      <family val="2"/>
    </font>
    <font>
      <b/>
      <sz val="11"/>
      <name val="Arial"/>
      <family val="2"/>
    </font>
    <font>
      <b/>
      <sz val="2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sz val="10.5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Font="1" applyProtection="1"/>
    <xf numFmtId="0" fontId="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10" fontId="4" fillId="0" borderId="1" xfId="1" applyNumberFormat="1" applyFont="1" applyFill="1" applyBorder="1" applyAlignment="1" applyProtection="1">
      <alignment horizontal="center"/>
    </xf>
    <xf numFmtId="0" fontId="6" fillId="0" borderId="0" xfId="1" applyFont="1" applyAlignment="1" applyProtection="1"/>
    <xf numFmtId="0" fontId="2" fillId="0" borderId="0" xfId="1" applyFont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</xf>
    <xf numFmtId="10" fontId="9" fillId="2" borderId="1" xfId="1" applyNumberFormat="1" applyFont="1" applyFill="1" applyBorder="1" applyAlignment="1" applyProtection="1">
      <alignment horizontal="center" vertical="center"/>
      <protection locked="0"/>
    </xf>
    <xf numFmtId="4" fontId="7" fillId="0" borderId="1" xfId="1" applyNumberFormat="1" applyFont="1" applyFill="1" applyBorder="1" applyAlignment="1" applyProtection="1">
      <alignment horizontal="center" vertical="center"/>
    </xf>
    <xf numFmtId="10" fontId="9" fillId="0" borderId="1" xfId="1" applyNumberFormat="1" applyFont="1" applyFill="1" applyBorder="1" applyAlignment="1" applyProtection="1">
      <alignment horizontal="center" vertical="center"/>
    </xf>
    <xf numFmtId="1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wrapText="1"/>
    </xf>
    <xf numFmtId="0" fontId="11" fillId="0" borderId="0" xfId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top"/>
    </xf>
    <xf numFmtId="0" fontId="17" fillId="0" borderId="0" xfId="1" applyFont="1" applyBorder="1" applyAlignment="1" applyProtection="1">
      <alignment horizontal="center" vertical="top"/>
    </xf>
    <xf numFmtId="167" fontId="1" fillId="0" borderId="0" xfId="1" applyNumberFormat="1" applyFont="1" applyAlignment="1" applyProtection="1"/>
    <xf numFmtId="0" fontId="2" fillId="0" borderId="8" xfId="1" applyFont="1" applyBorder="1" applyAlignment="1" applyProtection="1">
      <alignment horizontal="left"/>
    </xf>
    <xf numFmtId="0" fontId="1" fillId="0" borderId="8" xfId="1" applyFont="1" applyBorder="1" applyProtection="1"/>
    <xf numFmtId="0" fontId="9" fillId="0" borderId="0" xfId="1" applyFont="1" applyBorder="1" applyProtection="1"/>
    <xf numFmtId="0" fontId="1" fillId="0" borderId="0" xfId="1" applyFont="1" applyBorder="1" applyProtection="1"/>
    <xf numFmtId="0" fontId="2" fillId="0" borderId="0" xfId="2" applyFont="1" applyBorder="1" applyAlignment="1" applyProtection="1">
      <alignment horizontal="left" vertical="top"/>
    </xf>
    <xf numFmtId="0" fontId="9" fillId="0" borderId="0" xfId="1" applyFont="1" applyProtection="1"/>
    <xf numFmtId="165" fontId="1" fillId="0" borderId="0" xfId="1" applyNumberFormat="1" applyFont="1" applyFill="1" applyBorder="1" applyAlignment="1" applyProtection="1">
      <alignment horizontal="left"/>
    </xf>
    <xf numFmtId="0" fontId="1" fillId="0" borderId="8" xfId="1" applyFont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left"/>
      <protection locked="0"/>
    </xf>
    <xf numFmtId="49" fontId="1" fillId="2" borderId="9" xfId="1" applyNumberFormat="1" applyFont="1" applyFill="1" applyBorder="1" applyAlignment="1" applyProtection="1">
      <alignment horizontal="left" vertical="top" wrapText="1"/>
      <protection locked="0"/>
    </xf>
    <xf numFmtId="49" fontId="1" fillId="2" borderId="10" xfId="1" applyNumberFormat="1" applyFont="1" applyFill="1" applyBorder="1" applyAlignment="1" applyProtection="1">
      <alignment horizontal="left" vertical="top" wrapText="1"/>
      <protection locked="0"/>
    </xf>
    <xf numFmtId="49" fontId="1" fillId="2" borderId="11" xfId="1" applyNumberFormat="1" applyFont="1" applyFill="1" applyBorder="1" applyAlignment="1" applyProtection="1">
      <alignment horizontal="left" vertical="top" wrapText="1"/>
      <protection locked="0"/>
    </xf>
    <xf numFmtId="165" fontId="1" fillId="0" borderId="6" xfId="1" applyNumberFormat="1" applyFont="1" applyFill="1" applyBorder="1" applyAlignment="1" applyProtection="1">
      <alignment horizontal="left"/>
    </xf>
    <xf numFmtId="166" fontId="1" fillId="0" borderId="6" xfId="1" applyNumberFormat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</xf>
    <xf numFmtId="0" fontId="15" fillId="0" borderId="0" xfId="0" quotePrefix="1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top"/>
    </xf>
    <xf numFmtId="0" fontId="18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left" vertical="center" wrapText="1"/>
    </xf>
    <xf numFmtId="2" fontId="12" fillId="0" borderId="8" xfId="1" applyNumberFormat="1" applyFont="1" applyFill="1" applyBorder="1" applyAlignment="1" applyProtection="1">
      <alignment horizontal="center" vertical="center"/>
    </xf>
    <xf numFmtId="0" fontId="14" fillId="0" borderId="0" xfId="1" applyFont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top" wrapText="1"/>
    </xf>
    <xf numFmtId="0" fontId="1" fillId="0" borderId="1" xfId="1" applyFont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/>
    </xf>
    <xf numFmtId="10" fontId="5" fillId="2" borderId="1" xfId="1" applyNumberFormat="1" applyFont="1" applyFill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2" xfId="2" applyFont="1" applyBorder="1" applyAlignment="1" applyProtection="1">
      <alignment horizontal="left" vertical="top"/>
    </xf>
    <xf numFmtId="0" fontId="2" fillId="0" borderId="0" xfId="2" applyFont="1" applyBorder="1" applyAlignment="1" applyProtection="1">
      <alignment horizontal="left" vertical="top"/>
    </xf>
    <xf numFmtId="0" fontId="2" fillId="0" borderId="3" xfId="2" applyFont="1" applyBorder="1" applyAlignment="1" applyProtection="1">
      <alignment horizontal="left" vertical="top"/>
    </xf>
    <xf numFmtId="164" fontId="5" fillId="2" borderId="4" xfId="3" applyFont="1" applyFill="1" applyBorder="1" applyAlignment="1" applyProtection="1">
      <alignment horizontal="left"/>
      <protection locked="0"/>
    </xf>
    <xf numFmtId="164" fontId="5" fillId="2" borderId="6" xfId="3" applyFont="1" applyFill="1" applyBorder="1" applyAlignment="1" applyProtection="1">
      <alignment horizontal="left"/>
      <protection locked="0"/>
    </xf>
    <xf numFmtId="164" fontId="5" fillId="2" borderId="5" xfId="3" applyFont="1" applyFill="1" applyBorder="1" applyAlignment="1" applyProtection="1">
      <alignment horizontal="left"/>
      <protection locked="0"/>
    </xf>
    <xf numFmtId="0" fontId="1" fillId="0" borderId="4" xfId="1" applyFont="1" applyFill="1" applyBorder="1" applyAlignment="1" applyProtection="1">
      <alignment horizontal="center" vertical="top" wrapText="1"/>
    </xf>
    <xf numFmtId="0" fontId="1" fillId="0" borderId="5" xfId="1" applyFont="1" applyFill="1" applyBorder="1" applyAlignment="1" applyProtection="1">
      <alignment horizontal="center" vertical="top" wrapText="1"/>
    </xf>
    <xf numFmtId="0" fontId="5" fillId="0" borderId="1" xfId="1" applyFont="1" applyFill="1" applyBorder="1" applyAlignment="1" applyProtection="1">
      <alignment horizontal="left" wrapText="1"/>
    </xf>
    <xf numFmtId="0" fontId="1" fillId="0" borderId="4" xfId="1" applyFont="1" applyFill="1" applyBorder="1" applyAlignment="1" applyProtection="1">
      <alignment horizontal="left" vertical="top" wrapText="1"/>
    </xf>
    <xf numFmtId="0" fontId="1" fillId="0" borderId="5" xfId="1" applyFont="1" applyFill="1" applyBorder="1" applyAlignment="1" applyProtection="1">
      <alignment horizontal="left" vertical="top" wrapText="1"/>
    </xf>
    <xf numFmtId="49" fontId="1" fillId="0" borderId="4" xfId="1" applyNumberFormat="1" applyFont="1" applyFill="1" applyBorder="1" applyAlignment="1" applyProtection="1">
      <alignment horizontal="left" vertical="top" wrapText="1"/>
    </xf>
    <xf numFmtId="0" fontId="1" fillId="0" borderId="6" xfId="1" applyNumberFormat="1" applyFont="1" applyFill="1" applyBorder="1" applyAlignment="1" applyProtection="1">
      <alignment horizontal="left" vertical="top" wrapText="1"/>
    </xf>
    <xf numFmtId="0" fontId="1" fillId="0" borderId="5" xfId="1" applyNumberFormat="1" applyFont="1" applyFill="1" applyBorder="1" applyAlignment="1" applyProtection="1">
      <alignment horizontal="left" vertical="top" wrapText="1"/>
    </xf>
    <xf numFmtId="0" fontId="5" fillId="0" borderId="7" xfId="3" applyNumberFormat="1" applyFont="1" applyFill="1" applyBorder="1" applyAlignment="1" applyProtection="1">
      <alignment horizontal="left" wrapText="1"/>
    </xf>
  </cellXfs>
  <cellStyles count="4">
    <cellStyle name="Moeda_Composicao BDI v2.1" xfId="3"/>
    <cellStyle name="Normal" xfId="0" builtinId="0"/>
    <cellStyle name="Normal 2" xfId="1"/>
    <cellStyle name="Normal_FICHA DE VERIFICAÇÃO PRELIMINAR - Plano R" xfId="2"/>
  </cellStyles>
  <dxfs count="9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FF9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19050</xdr:rowOff>
    </xdr:from>
    <xdr:to>
      <xdr:col>10</xdr:col>
      <xdr:colOff>390525</xdr:colOff>
      <xdr:row>2</xdr:row>
      <xdr:rowOff>19050</xdr:rowOff>
    </xdr:to>
    <xdr:sp macro="" textlink="">
      <xdr:nvSpPr>
        <xdr:cNvPr id="2" name="Object 476" hidden="1">
          <a:extLst>
            <a:ext uri="{63B3BB69-23CF-44E3-9099-C40C66FF867C}">
              <a14:compatExt xmlns:a14="http://schemas.microsoft.com/office/drawing/2010/main" xmlns="" spid="_x0000_s156124"/>
            </a:ext>
          </a:extLst>
        </xdr:cNvPr>
        <xdr:cNvSpPr/>
      </xdr:nvSpPr>
      <xdr:spPr bwMode="auto">
        <a:xfrm>
          <a:off x="28575" y="19050"/>
          <a:ext cx="1790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28575</xdr:colOff>
      <xdr:row>0</xdr:row>
      <xdr:rowOff>19050</xdr:rowOff>
    </xdr:from>
    <xdr:to>
      <xdr:col>10</xdr:col>
      <xdr:colOff>390525</xdr:colOff>
      <xdr:row>2</xdr:row>
      <xdr:rowOff>19050</xdr:rowOff>
    </xdr:to>
    <xdr:pic>
      <xdr:nvPicPr>
        <xdr:cNvPr id="4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790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_1/2019/licita&#231;&#245;es/TP%2005-2019%20-%20Reforma/1926-IPPASSO-PO-XLS-R00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sheetDataSet>
      <sheetData sheetId="0">
        <row r="38">
          <cell r="C38" t="str">
            <v>Não</v>
          </cell>
        </row>
        <row r="56">
          <cell r="A56" t="str">
            <v>CREA/CAU:</v>
          </cell>
        </row>
        <row r="57">
          <cell r="A57" t="str">
            <v>ART/RRT: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topLeftCell="H1" workbookViewId="0">
      <selection activeCell="I11" sqref="I11:P11"/>
    </sheetView>
  </sheetViews>
  <sheetFormatPr defaultRowHeight="15"/>
  <cols>
    <col min="1" max="7" width="0" hidden="1" customWidth="1"/>
    <col min="9" max="9" width="12.28515625" bestFit="1" customWidth="1"/>
    <col min="14" max="14" width="11.7109375" bestFit="1" customWidth="1"/>
    <col min="15" max="15" width="14.140625" customWidth="1"/>
  </cols>
  <sheetData>
    <row r="1" spans="1:21" ht="15.75">
      <c r="A1" s="1"/>
      <c r="B1" s="1"/>
      <c r="C1" s="1"/>
      <c r="D1" s="1"/>
      <c r="E1" s="2" t="s">
        <v>0</v>
      </c>
      <c r="F1" s="2" t="s">
        <v>1</v>
      </c>
      <c r="G1" s="2" t="s">
        <v>2</v>
      </c>
      <c r="H1" s="1"/>
      <c r="I1" s="1"/>
      <c r="J1" s="1"/>
      <c r="K1" s="1"/>
      <c r="L1" s="1"/>
      <c r="M1" s="1"/>
      <c r="N1" s="3" t="e">
        <f ca="1">"Quadro de Composição do BDI "&amp;MID(CELL("nome.arquivo",N1),5+FIND("BDI (",CELL("nome.arquivo",N1)),1)</f>
        <v>#VALUE!</v>
      </c>
      <c r="O1" s="1"/>
      <c r="P1" s="1"/>
      <c r="S1" s="1"/>
      <c r="T1" s="1"/>
      <c r="U1" s="1"/>
    </row>
    <row r="2" spans="1:21">
      <c r="A2" s="1" t="s">
        <v>3</v>
      </c>
      <c r="B2" s="4" t="s">
        <v>4</v>
      </c>
      <c r="C2" s="1" t="str">
        <f t="shared" ref="C2:C49" si="0">CONCATENATE(A2,"-",B2)</f>
        <v>Construção e Reforma de Edifícios-AC</v>
      </c>
      <c r="D2" s="1"/>
      <c r="E2" s="5">
        <v>0.03</v>
      </c>
      <c r="F2" s="5">
        <v>0.04</v>
      </c>
      <c r="G2" s="5">
        <v>5.5E-2</v>
      </c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</row>
    <row r="3" spans="1:21">
      <c r="A3" s="1" t="str">
        <f>A2</f>
        <v>Construção e Reforma de Edifícios</v>
      </c>
      <c r="B3" s="4" t="s">
        <v>5</v>
      </c>
      <c r="C3" s="1" t="str">
        <f t="shared" si="0"/>
        <v>Construção e Reforma de Edifícios-SG</v>
      </c>
      <c r="D3" s="1"/>
      <c r="E3" s="5">
        <v>8.0000000000000002E-3</v>
      </c>
      <c r="F3" s="5">
        <v>8.0000000000000002E-3</v>
      </c>
      <c r="G3" s="5">
        <v>0.01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 t="str">
        <f>A3</f>
        <v>Construção e Reforma de Edifícios</v>
      </c>
      <c r="B4" s="4" t="s">
        <v>6</v>
      </c>
      <c r="C4" s="1" t="str">
        <f t="shared" si="0"/>
        <v>Construção e Reforma de Edifícios-R</v>
      </c>
      <c r="D4" s="1"/>
      <c r="E4" s="5">
        <v>9.7000000000000003E-3</v>
      </c>
      <c r="F4" s="5">
        <v>1.2699999999999999E-2</v>
      </c>
      <c r="G4" s="5">
        <v>1.2699999999999999E-2</v>
      </c>
      <c r="H4" s="1"/>
      <c r="I4" s="59" t="s">
        <v>7</v>
      </c>
      <c r="J4" s="61"/>
      <c r="K4" s="59" t="s">
        <v>8</v>
      </c>
      <c r="L4" s="60"/>
      <c r="M4" s="60"/>
      <c r="N4" s="60"/>
      <c r="O4" s="60"/>
      <c r="P4" s="60"/>
      <c r="Q4" s="60"/>
      <c r="R4" s="61"/>
      <c r="S4" s="1"/>
      <c r="T4" s="1"/>
      <c r="U4" s="1"/>
    </row>
    <row r="5" spans="1:21" ht="19.5">
      <c r="A5" s="1" t="str">
        <f>A4</f>
        <v>Construção e Reforma de Edifícios</v>
      </c>
      <c r="B5" s="4" t="s">
        <v>9</v>
      </c>
      <c r="C5" s="1" t="str">
        <f t="shared" si="0"/>
        <v>Construção e Reforma de Edifícios-DF</v>
      </c>
      <c r="D5" s="1"/>
      <c r="E5" s="5">
        <v>5.8999999999999999E-3</v>
      </c>
      <c r="F5" s="5">
        <v>1.23E-2</v>
      </c>
      <c r="G5" s="5">
        <v>1.3899999999999999E-2</v>
      </c>
      <c r="H5" s="1"/>
      <c r="I5" s="68">
        <f>[1]DADOS!A29</f>
        <v>0</v>
      </c>
      <c r="J5" s="69"/>
      <c r="K5" s="70">
        <f>[1]DADOS!A32</f>
        <v>0</v>
      </c>
      <c r="L5" s="71"/>
      <c r="M5" s="71"/>
      <c r="N5" s="71"/>
      <c r="O5" s="71"/>
      <c r="P5" s="71"/>
      <c r="Q5" s="71"/>
      <c r="R5" s="72"/>
      <c r="S5" s="6"/>
      <c r="T5" s="1"/>
      <c r="U5" s="1"/>
    </row>
    <row r="6" spans="1:21">
      <c r="A6" s="1" t="str">
        <f>A5</f>
        <v>Construção e Reforma de Edifícios</v>
      </c>
      <c r="B6" s="4" t="s">
        <v>10</v>
      </c>
      <c r="C6" s="1" t="str">
        <f t="shared" si="0"/>
        <v>Construção e Reforma de Edifícios-L</v>
      </c>
      <c r="D6" s="1"/>
      <c r="E6" s="5">
        <v>6.1600000000000002E-2</v>
      </c>
      <c r="F6" s="5">
        <v>7.400000000000001E-2</v>
      </c>
      <c r="G6" s="5">
        <v>8.9600000000000013E-2</v>
      </c>
      <c r="H6" s="1"/>
      <c r="I6" s="7"/>
      <c r="J6" s="7"/>
      <c r="K6" s="7"/>
      <c r="L6" s="7"/>
      <c r="M6" s="7"/>
      <c r="N6" s="7"/>
      <c r="O6" s="7"/>
      <c r="P6" s="7"/>
      <c r="Q6" s="7"/>
      <c r="R6" s="7"/>
      <c r="S6" s="1"/>
      <c r="T6" s="1"/>
      <c r="U6" s="1"/>
    </row>
    <row r="7" spans="1:21">
      <c r="A7" s="1" t="str">
        <f>A6</f>
        <v>Construção e Reforma de Edifícios</v>
      </c>
      <c r="B7" s="8" t="s">
        <v>11</v>
      </c>
      <c r="C7" s="1" t="str">
        <f t="shared" si="0"/>
        <v>Construção e Reforma de Edifícios-BDI PAD</v>
      </c>
      <c r="D7" s="1"/>
      <c r="E7" s="5">
        <v>0.2034</v>
      </c>
      <c r="F7" s="5">
        <v>0.22120000000000001</v>
      </c>
      <c r="G7" s="5">
        <v>0.25</v>
      </c>
      <c r="H7" s="1"/>
      <c r="I7" s="59" t="s">
        <v>12</v>
      </c>
      <c r="J7" s="60"/>
      <c r="K7" s="60"/>
      <c r="L7" s="60"/>
      <c r="M7" s="60"/>
      <c r="N7" s="60"/>
      <c r="O7" s="60"/>
      <c r="P7" s="60"/>
      <c r="Q7" s="60"/>
      <c r="R7" s="61"/>
      <c r="S7" s="1"/>
      <c r="T7" s="1"/>
      <c r="U7" s="1"/>
    </row>
    <row r="8" spans="1:21">
      <c r="A8" s="1" t="s">
        <v>13</v>
      </c>
      <c r="B8" s="4" t="s">
        <v>4</v>
      </c>
      <c r="C8" s="1" t="str">
        <f t="shared" si="0"/>
        <v>Construção de Praças Urbanas, Rodovias, Ferrovias e recapeamento e pavimentação de vias urbanas-AC</v>
      </c>
      <c r="D8" s="1"/>
      <c r="E8" s="5">
        <v>3.7999999999999999E-2</v>
      </c>
      <c r="F8" s="5">
        <v>4.0099999999999997E-2</v>
      </c>
      <c r="G8" s="5">
        <v>4.6699999999999998E-2</v>
      </c>
      <c r="H8" s="1"/>
      <c r="I8" s="73">
        <f>[1]DADOS!P29</f>
        <v>0</v>
      </c>
      <c r="J8" s="73"/>
      <c r="K8" s="73"/>
      <c r="L8" s="73"/>
      <c r="M8" s="73"/>
      <c r="N8" s="73"/>
      <c r="O8" s="73"/>
      <c r="P8" s="73"/>
      <c r="Q8" s="73"/>
      <c r="R8" s="73"/>
      <c r="S8" s="1"/>
      <c r="T8" s="1"/>
      <c r="U8" s="1"/>
    </row>
    <row r="9" spans="1:21">
      <c r="A9" s="1" t="s">
        <v>13</v>
      </c>
      <c r="B9" s="4" t="s">
        <v>5</v>
      </c>
      <c r="C9" s="1" t="str">
        <f t="shared" si="0"/>
        <v>Construção de Praças Urbanas, Rodovias, Ferrovias e recapeamento e pavimentação de vias urbanas-SG</v>
      </c>
      <c r="D9" s="1"/>
      <c r="E9" s="5">
        <v>3.2000000000000002E-3</v>
      </c>
      <c r="F9" s="5">
        <v>4.0000000000000001E-3</v>
      </c>
      <c r="G9" s="5">
        <v>7.4000000000000003E-3</v>
      </c>
      <c r="H9" s="1"/>
      <c r="I9" s="7"/>
      <c r="J9" s="7"/>
      <c r="K9" s="7"/>
      <c r="L9" s="7"/>
      <c r="M9" s="7"/>
      <c r="N9" s="7"/>
      <c r="O9" s="7"/>
      <c r="P9" s="7"/>
      <c r="Q9" s="7"/>
      <c r="R9" s="7"/>
      <c r="S9" s="1"/>
      <c r="T9" s="1"/>
      <c r="U9" s="1"/>
    </row>
    <row r="10" spans="1:21">
      <c r="A10" s="1" t="s">
        <v>13</v>
      </c>
      <c r="B10" s="4" t="s">
        <v>6</v>
      </c>
      <c r="C10" s="1" t="str">
        <f t="shared" si="0"/>
        <v>Construção de Praças Urbanas, Rodovias, Ferrovias e recapeamento e pavimentação de vias urbanas-R</v>
      </c>
      <c r="D10" s="1"/>
      <c r="E10" s="5">
        <v>5.0000000000000001E-3</v>
      </c>
      <c r="F10" s="5">
        <v>5.6000000000000008E-3</v>
      </c>
      <c r="G10" s="5">
        <v>9.7000000000000003E-3</v>
      </c>
      <c r="H10" s="1"/>
      <c r="I10" s="59" t="s">
        <v>14</v>
      </c>
      <c r="J10" s="60"/>
      <c r="K10" s="60"/>
      <c r="L10" s="60"/>
      <c r="M10" s="60"/>
      <c r="N10" s="60"/>
      <c r="O10" s="60"/>
      <c r="P10" s="60"/>
      <c r="Q10" s="59" t="s">
        <v>15</v>
      </c>
      <c r="R10" s="61"/>
      <c r="S10" s="1"/>
      <c r="T10" s="1"/>
      <c r="U10" s="1"/>
    </row>
    <row r="11" spans="1:21">
      <c r="A11" s="1" t="s">
        <v>13</v>
      </c>
      <c r="B11" s="4" t="s">
        <v>9</v>
      </c>
      <c r="C11" s="1" t="str">
        <f t="shared" si="0"/>
        <v>Construção de Praças Urbanas, Rodovias, Ferrovias e recapeamento e pavimentação de vias urbanas-DF</v>
      </c>
      <c r="D11" s="1"/>
      <c r="E11" s="5">
        <v>1.0200000000000001E-2</v>
      </c>
      <c r="F11" s="5">
        <v>1.11E-2</v>
      </c>
      <c r="G11" s="5">
        <v>1.21E-2</v>
      </c>
      <c r="H11" s="1"/>
      <c r="I11" s="62" t="s">
        <v>3</v>
      </c>
      <c r="J11" s="63"/>
      <c r="K11" s="63"/>
      <c r="L11" s="63"/>
      <c r="M11" s="63"/>
      <c r="N11" s="63"/>
      <c r="O11" s="63"/>
      <c r="P11" s="64"/>
      <c r="Q11" s="65" t="str">
        <f>[1]DADOS!$C$38</f>
        <v>Não</v>
      </c>
      <c r="R11" s="66"/>
      <c r="S11" s="1"/>
      <c r="T11" s="1"/>
      <c r="U11" s="1"/>
    </row>
    <row r="12" spans="1:21">
      <c r="A12" s="1" t="s">
        <v>13</v>
      </c>
      <c r="B12" s="4" t="s">
        <v>10</v>
      </c>
      <c r="C12" s="1" t="str">
        <f t="shared" si="0"/>
        <v>Construção de Praças Urbanas, Rodovias, Ferrovias e recapeamento e pavimentação de vias urbanas-L</v>
      </c>
      <c r="D12" s="1"/>
      <c r="E12" s="5">
        <v>6.6400000000000001E-2</v>
      </c>
      <c r="F12" s="5">
        <v>7.2999999999999995E-2</v>
      </c>
      <c r="G12" s="5">
        <v>8.6899999999999991E-2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 t="s">
        <v>13</v>
      </c>
      <c r="B13" s="8" t="s">
        <v>11</v>
      </c>
      <c r="C13" s="1" t="str">
        <f t="shared" si="0"/>
        <v>Construção de Praças Urbanas, Rodovias, Ferrovias e recapeamento e pavimentação de vias urbanas-BDI PAD</v>
      </c>
      <c r="D13" s="1"/>
      <c r="E13" s="5">
        <v>0.19600000000000001</v>
      </c>
      <c r="F13" s="5">
        <v>0.2097</v>
      </c>
      <c r="G13" s="5">
        <v>0.24230000000000002</v>
      </c>
      <c r="H13" s="1"/>
      <c r="I13" s="67" t="s">
        <v>16</v>
      </c>
      <c r="J13" s="67"/>
      <c r="K13" s="67"/>
      <c r="L13" s="67"/>
      <c r="M13" s="67"/>
      <c r="N13" s="67"/>
      <c r="O13" s="67"/>
      <c r="P13" s="67"/>
      <c r="Q13" s="54"/>
      <c r="R13" s="54"/>
      <c r="S13" s="1"/>
      <c r="T13" s="1"/>
      <c r="U13" s="1"/>
    </row>
    <row r="14" spans="1:21">
      <c r="A14" s="1" t="s">
        <v>17</v>
      </c>
      <c r="B14" s="4" t="s">
        <v>4</v>
      </c>
      <c r="C14" s="1" t="str">
        <f t="shared" si="0"/>
        <v>Construção de Redes de Abastecimento de Água, Coleta de Esgoto-AC</v>
      </c>
      <c r="D14" s="1"/>
      <c r="E14" s="5">
        <v>3.4300000000000004E-2</v>
      </c>
      <c r="F14" s="5">
        <v>4.9299999999999997E-2</v>
      </c>
      <c r="G14" s="5">
        <v>6.7099999999999993E-2</v>
      </c>
      <c r="H14" s="1"/>
      <c r="I14" s="53" t="s">
        <v>18</v>
      </c>
      <c r="J14" s="53"/>
      <c r="K14" s="53"/>
      <c r="L14" s="53"/>
      <c r="M14" s="53"/>
      <c r="N14" s="53"/>
      <c r="O14" s="53"/>
      <c r="P14" s="53"/>
      <c r="Q14" s="54"/>
      <c r="R14" s="54"/>
      <c r="S14" s="1"/>
      <c r="T14" s="1"/>
      <c r="U14" s="1"/>
    </row>
    <row r="15" spans="1:21">
      <c r="A15" s="1" t="str">
        <f>A14</f>
        <v>Construção de Redes de Abastecimento de Água, Coleta de Esgoto</v>
      </c>
      <c r="B15" s="4" t="s">
        <v>5</v>
      </c>
      <c r="C15" s="1" t="str">
        <f t="shared" si="0"/>
        <v>Construção de Redes de Abastecimento de Água, Coleta de Esgoto-SG</v>
      </c>
      <c r="D15" s="1"/>
      <c r="E15" s="5">
        <v>2.8000000000000004E-3</v>
      </c>
      <c r="F15" s="5">
        <v>4.8999999999999998E-3</v>
      </c>
      <c r="G15" s="5">
        <v>7.4999999999999997E-3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4"/>
      <c r="C16" s="1"/>
      <c r="D16" s="1"/>
      <c r="E16" s="5"/>
      <c r="F16" s="5"/>
      <c r="G16" s="5"/>
      <c r="H16" s="1"/>
      <c r="I16" s="55" t="s">
        <v>19</v>
      </c>
      <c r="J16" s="55"/>
      <c r="K16" s="55"/>
      <c r="L16" s="55"/>
      <c r="M16" s="55" t="s">
        <v>20</v>
      </c>
      <c r="N16" s="56" t="s">
        <v>21</v>
      </c>
      <c r="O16" s="56" t="s">
        <v>22</v>
      </c>
      <c r="P16" s="57" t="s">
        <v>23</v>
      </c>
      <c r="Q16" s="57" t="s">
        <v>24</v>
      </c>
      <c r="R16" s="58" t="s">
        <v>25</v>
      </c>
      <c r="S16" s="1"/>
      <c r="T16" s="51" t="str">
        <f>IF(V27,"Para BDI fora do intervalo estatístico, deve ser apresentado Relatório Técnico Circunstanciado justificando a adoção do percentual de cada parcela do BDI.","")</f>
        <v/>
      </c>
      <c r="U16" s="51"/>
    </row>
    <row r="17" spans="1:21">
      <c r="A17" s="1" t="str">
        <f>A15</f>
        <v>Construção de Redes de Abastecimento de Água, Coleta de Esgoto</v>
      </c>
      <c r="B17" s="4" t="s">
        <v>6</v>
      </c>
      <c r="C17" s="1" t="str">
        <f t="shared" si="0"/>
        <v>Construção de Redes de Abastecimento de Água, Coleta de Esgoto-R</v>
      </c>
      <c r="D17" s="1"/>
      <c r="E17" s="5">
        <v>0.01</v>
      </c>
      <c r="F17" s="5">
        <v>1.3899999999999999E-2</v>
      </c>
      <c r="G17" s="5">
        <v>1.7399999999999999E-2</v>
      </c>
      <c r="H17" s="1"/>
      <c r="I17" s="55"/>
      <c r="J17" s="55"/>
      <c r="K17" s="55"/>
      <c r="L17" s="55"/>
      <c r="M17" s="55"/>
      <c r="N17" s="56"/>
      <c r="O17" s="56"/>
      <c r="P17" s="57"/>
      <c r="Q17" s="57"/>
      <c r="R17" s="58"/>
      <c r="S17" s="1"/>
      <c r="T17" s="51"/>
      <c r="U17" s="51"/>
    </row>
    <row r="18" spans="1:21">
      <c r="A18" s="1" t="str">
        <f>A17</f>
        <v>Construção de Redes de Abastecimento de Água, Coleta de Esgoto</v>
      </c>
      <c r="B18" s="4" t="s">
        <v>9</v>
      </c>
      <c r="C18" s="1" t="str">
        <f t="shared" si="0"/>
        <v>Construção de Redes de Abastecimento de Água, Coleta de Esgoto-DF</v>
      </c>
      <c r="D18" s="1"/>
      <c r="E18" s="5">
        <v>9.3999999999999986E-3</v>
      </c>
      <c r="F18" s="5">
        <v>9.8999999999999991E-3</v>
      </c>
      <c r="G18" s="5">
        <v>1.1699999999999999E-2</v>
      </c>
      <c r="H18" s="1"/>
      <c r="I18" s="46" t="str">
        <f>IF($I$11=$A$59,"Encargos Sociais incidentes sobre a mão de obra","Administração Central")</f>
        <v>Administração Central</v>
      </c>
      <c r="J18" s="46"/>
      <c r="K18" s="46"/>
      <c r="L18" s="46"/>
      <c r="M18" s="9" t="str">
        <f>IF($I$11=$A$59,"K1","AC")</f>
        <v>AC</v>
      </c>
      <c r="N18" s="10"/>
      <c r="O18" s="11" t="s">
        <v>26</v>
      </c>
      <c r="P18" s="12">
        <f>VLOOKUP(CONCATENATE(I$11,"-",M18),$C$2:$G$49,3,FALSE)</f>
        <v>0.03</v>
      </c>
      <c r="Q18" s="12">
        <f>VLOOKUP(CONCATENATE(I$11,"-",M18),$C$2:$G$49,4,FALSE)</f>
        <v>0.04</v>
      </c>
      <c r="R18" s="12">
        <f>VLOOKUP(CONCATENATE(I$11,"-",M18),$C$2:$G$49,5,FALSE)</f>
        <v>5.5E-2</v>
      </c>
      <c r="S18" s="1"/>
      <c r="T18" s="51"/>
      <c r="U18" s="51"/>
    </row>
    <row r="19" spans="1:21">
      <c r="A19" s="1" t="str">
        <f>A18</f>
        <v>Construção de Redes de Abastecimento de Água, Coleta de Esgoto</v>
      </c>
      <c r="B19" s="4" t="s">
        <v>10</v>
      </c>
      <c r="C19" s="1" t="str">
        <f t="shared" si="0"/>
        <v>Construção de Redes de Abastecimento de Água, Coleta de Esgoto-L</v>
      </c>
      <c r="D19" s="1"/>
      <c r="E19" s="5">
        <v>6.7400000000000002E-2</v>
      </c>
      <c r="F19" s="5">
        <v>8.0399999999999985E-2</v>
      </c>
      <c r="G19" s="5">
        <v>9.4E-2</v>
      </c>
      <c r="H19" s="1"/>
      <c r="I19" s="46" t="str">
        <f>IF($I$11=$A$59,"Administração Central da empresa ou consultoria - overhead","Seguro e Garantia")</f>
        <v>Seguro e Garantia</v>
      </c>
      <c r="J19" s="46"/>
      <c r="K19" s="46"/>
      <c r="L19" s="46"/>
      <c r="M19" s="9" t="str">
        <f>IF($I$11=$A$59,"K2","SG")</f>
        <v>SG</v>
      </c>
      <c r="N19" s="10"/>
      <c r="O19" s="11" t="s">
        <v>26</v>
      </c>
      <c r="P19" s="12">
        <f>VLOOKUP(CONCATENATE(I$11,"-",M19),$C$2:$G$49,3,FALSE)</f>
        <v>8.0000000000000002E-3</v>
      </c>
      <c r="Q19" s="12">
        <f>VLOOKUP(CONCATENATE(I$11,"-",M19),$C$2:$G$49,4,FALSE)</f>
        <v>8.0000000000000002E-3</v>
      </c>
      <c r="R19" s="12">
        <f>VLOOKUP(CONCATENATE(I$11,"-",M19),$C$2:$G$49,5,FALSE)</f>
        <v>0.01</v>
      </c>
      <c r="S19" s="1"/>
      <c r="T19" s="51"/>
      <c r="U19" s="51"/>
    </row>
    <row r="20" spans="1:21">
      <c r="A20" s="1" t="str">
        <f>A19</f>
        <v>Construção de Redes de Abastecimento de Água, Coleta de Esgoto</v>
      </c>
      <c r="B20" s="8" t="s">
        <v>11</v>
      </c>
      <c r="C20" s="1" t="str">
        <f t="shared" si="0"/>
        <v>Construção de Redes de Abastecimento de Água, Coleta de Esgoto-BDI PAD</v>
      </c>
      <c r="D20" s="1"/>
      <c r="E20" s="5">
        <v>0.20760000000000001</v>
      </c>
      <c r="F20" s="5">
        <v>0.24179999999999999</v>
      </c>
      <c r="G20" s="5">
        <v>0.26440000000000002</v>
      </c>
      <c r="H20" s="1"/>
      <c r="I20" s="46" t="str">
        <f>IF($I$11=$A$59,"","Risco")</f>
        <v>Risco</v>
      </c>
      <c r="J20" s="46"/>
      <c r="K20" s="46"/>
      <c r="L20" s="46"/>
      <c r="M20" s="9" t="str">
        <f>IF($I$11=$A$59,"","R")</f>
        <v>R</v>
      </c>
      <c r="N20" s="10"/>
      <c r="O20" s="11" t="s">
        <v>26</v>
      </c>
      <c r="P20" s="12">
        <f>VLOOKUP(CONCATENATE(I$11,"-",M20),$C$2:$G$49,3,FALSE)</f>
        <v>9.7000000000000003E-3</v>
      </c>
      <c r="Q20" s="12">
        <f>VLOOKUP(CONCATENATE(I$11,"-",M20),$C$2:$G$49,4,FALSE)</f>
        <v>1.2699999999999999E-2</v>
      </c>
      <c r="R20" s="12">
        <f>VLOOKUP(CONCATENATE(I$11,"-",M20),$C$2:$G$49,5,FALSE)</f>
        <v>1.2699999999999999E-2</v>
      </c>
      <c r="S20" s="1"/>
      <c r="T20" s="51"/>
      <c r="U20" s="51"/>
    </row>
    <row r="21" spans="1:21">
      <c r="A21" s="1" t="s">
        <v>27</v>
      </c>
      <c r="B21" s="4" t="s">
        <v>4</v>
      </c>
      <c r="C21" s="1" t="str">
        <f t="shared" si="0"/>
        <v>Construção e Manutenção de Estações e Redes de Distribuição de Energia Elétrica-AC</v>
      </c>
      <c r="D21" s="1"/>
      <c r="E21" s="5">
        <v>5.2900000000000003E-2</v>
      </c>
      <c r="F21" s="5">
        <v>5.9200000000000003E-2</v>
      </c>
      <c r="G21" s="5">
        <v>7.9299999999999995E-2</v>
      </c>
      <c r="H21" s="1"/>
      <c r="I21" s="46" t="str">
        <f>IF($I$11=$A$59,"","Despesas Financeiras")</f>
        <v>Despesas Financeiras</v>
      </c>
      <c r="J21" s="46"/>
      <c r="K21" s="46"/>
      <c r="L21" s="46"/>
      <c r="M21" s="9" t="str">
        <f>IF($I$11=$A$59,"","DF")</f>
        <v>DF</v>
      </c>
      <c r="N21" s="10"/>
      <c r="O21" s="11" t="s">
        <v>26</v>
      </c>
      <c r="P21" s="12">
        <f>VLOOKUP(CONCATENATE(I$11,"-",M21),$C$2:$G$49,3,FALSE)</f>
        <v>5.8999999999999999E-3</v>
      </c>
      <c r="Q21" s="12">
        <f>VLOOKUP(CONCATENATE(I$11,"-",M21),$C$2:$G$49,4,FALSE)</f>
        <v>1.23E-2</v>
      </c>
      <c r="R21" s="12">
        <f>VLOOKUP(CONCATENATE(I$11,"-",M21),$C$2:$G$49,5,FALSE)</f>
        <v>1.3899999999999999E-2</v>
      </c>
      <c r="S21" s="1"/>
      <c r="T21" s="51"/>
      <c r="U21" s="51"/>
    </row>
    <row r="22" spans="1:21">
      <c r="A22" s="1" t="str">
        <f>A21</f>
        <v>Construção e Manutenção de Estações e Redes de Distribuição de Energia Elétrica</v>
      </c>
      <c r="B22" s="4" t="s">
        <v>5</v>
      </c>
      <c r="C22" s="1" t="str">
        <f t="shared" si="0"/>
        <v>Construção e Manutenção de Estações e Redes de Distribuição de Energia Elétrica-SG</v>
      </c>
      <c r="D22" s="1"/>
      <c r="E22" s="5">
        <v>2.5000000000000001E-3</v>
      </c>
      <c r="F22" s="5">
        <v>5.1000000000000004E-3</v>
      </c>
      <c r="G22" s="5">
        <v>5.6000000000000008E-3</v>
      </c>
      <c r="H22" s="1"/>
      <c r="I22" s="46" t="str">
        <f>IF($I$11=$A$59,"Margem bruta da empresa de consultoria","Lucro")</f>
        <v>Lucro</v>
      </c>
      <c r="J22" s="46"/>
      <c r="K22" s="46"/>
      <c r="L22" s="46"/>
      <c r="M22" s="9" t="str">
        <f>IF($I$11=$A$59,"K3","L")</f>
        <v>L</v>
      </c>
      <c r="N22" s="10"/>
      <c r="O22" s="11" t="s">
        <v>26</v>
      </c>
      <c r="P22" s="12">
        <f>VLOOKUP(CONCATENATE(I$11,"-",M22),$C$2:$G$49,3,FALSE)</f>
        <v>6.1600000000000002E-2</v>
      </c>
      <c r="Q22" s="12">
        <f>VLOOKUP(CONCATENATE(I$11,"-",M22),$C$2:$G$49,4,FALSE)</f>
        <v>7.400000000000001E-2</v>
      </c>
      <c r="R22" s="12">
        <f>VLOOKUP(CONCATENATE(I$11,"-",M22),$C$2:$G$49,5,FALSE)</f>
        <v>8.9600000000000013E-2</v>
      </c>
      <c r="S22" s="1"/>
      <c r="T22" s="51"/>
      <c r="U22" s="51"/>
    </row>
    <row r="23" spans="1:21">
      <c r="A23" s="1" t="str">
        <f>A22</f>
        <v>Construção e Manutenção de Estações e Redes de Distribuição de Energia Elétrica</v>
      </c>
      <c r="B23" s="4" t="s">
        <v>6</v>
      </c>
      <c r="C23" s="1" t="str">
        <f t="shared" si="0"/>
        <v>Construção e Manutenção de Estações e Redes de Distribuição de Energia Elétrica-R</v>
      </c>
      <c r="D23" s="1"/>
      <c r="E23" s="5">
        <v>0.01</v>
      </c>
      <c r="F23" s="5">
        <v>1.4800000000000001E-2</v>
      </c>
      <c r="G23" s="5">
        <v>1.9699999999999999E-2</v>
      </c>
      <c r="H23" s="1"/>
      <c r="I23" s="52" t="s">
        <v>28</v>
      </c>
      <c r="J23" s="52"/>
      <c r="K23" s="52"/>
      <c r="L23" s="52"/>
      <c r="M23" s="9" t="s">
        <v>29</v>
      </c>
      <c r="N23" s="10"/>
      <c r="O23" s="11" t="s">
        <v>26</v>
      </c>
      <c r="P23" s="12">
        <v>3.6499999999999998E-2</v>
      </c>
      <c r="Q23" s="12">
        <v>3.6499999999999998E-2</v>
      </c>
      <c r="R23" s="12">
        <v>3.6499999999999998E-2</v>
      </c>
      <c r="S23" s="1"/>
      <c r="T23" s="51"/>
      <c r="U23" s="51"/>
    </row>
    <row r="24" spans="1:21">
      <c r="A24" s="1" t="str">
        <f>A23</f>
        <v>Construção e Manutenção de Estações e Redes de Distribuição de Energia Elétrica</v>
      </c>
      <c r="B24" s="4" t="s">
        <v>9</v>
      </c>
      <c r="C24" s="1" t="str">
        <f t="shared" si="0"/>
        <v>Construção e Manutenção de Estações e Redes de Distribuição de Energia Elétrica-DF</v>
      </c>
      <c r="D24" s="1"/>
      <c r="E24" s="5">
        <v>1.01E-2</v>
      </c>
      <c r="F24" s="5">
        <v>1.0700000000000001E-2</v>
      </c>
      <c r="G24" s="5">
        <v>1.11E-2</v>
      </c>
      <c r="H24" s="1"/>
      <c r="I24" s="46" t="s">
        <v>30</v>
      </c>
      <c r="J24" s="46"/>
      <c r="K24" s="46"/>
      <c r="L24" s="46"/>
      <c r="M24" s="9" t="s">
        <v>31</v>
      </c>
      <c r="N24" s="12">
        <f>IF($I$11&lt;&gt;$A$58,Q14*Q13,0)</f>
        <v>0</v>
      </c>
      <c r="O24" s="11" t="s">
        <v>26</v>
      </c>
      <c r="P24" s="12">
        <v>0</v>
      </c>
      <c r="Q24" s="12">
        <v>2.5000000000000001E-2</v>
      </c>
      <c r="R24" s="12">
        <v>0.05</v>
      </c>
      <c r="S24" s="1"/>
      <c r="T24" s="51"/>
      <c r="U24" s="51"/>
    </row>
    <row r="25" spans="1:21">
      <c r="A25" s="1" t="str">
        <f>A24</f>
        <v>Construção e Manutenção de Estações e Redes de Distribuição de Energia Elétrica</v>
      </c>
      <c r="B25" s="4" t="s">
        <v>10</v>
      </c>
      <c r="C25" s="1" t="str">
        <f t="shared" si="0"/>
        <v>Construção e Manutenção de Estações e Redes de Distribuição de Energia Elétrica-L</v>
      </c>
      <c r="D25" s="1"/>
      <c r="E25" s="5">
        <v>0.08</v>
      </c>
      <c r="F25" s="5">
        <v>8.3100000000000007E-2</v>
      </c>
      <c r="G25" s="5">
        <v>9.5100000000000004E-2</v>
      </c>
      <c r="H25" s="1"/>
      <c r="I25" s="46" t="s">
        <v>32</v>
      </c>
      <c r="J25" s="46"/>
      <c r="K25" s="46"/>
      <c r="L25" s="46"/>
      <c r="M25" s="9" t="s">
        <v>33</v>
      </c>
      <c r="N25" s="12">
        <f>IF(AND($I$11&lt;&gt;$A$58,Q11="Sim"),4.5%,0%)</f>
        <v>0</v>
      </c>
      <c r="O25" s="11" t="str">
        <f>IF(AND(N25&gt;=P25, N25&lt;=R25), "OK", "Não OK")</f>
        <v>OK</v>
      </c>
      <c r="P25" s="13">
        <v>0</v>
      </c>
      <c r="Q25" s="13">
        <v>4.4999999999999998E-2</v>
      </c>
      <c r="R25" s="13">
        <v>4.4999999999999998E-2</v>
      </c>
      <c r="S25" s="1"/>
      <c r="T25" s="1"/>
      <c r="U25" s="1"/>
    </row>
    <row r="26" spans="1:21" ht="30">
      <c r="A26" s="1" t="str">
        <f>A25</f>
        <v>Construção e Manutenção de Estações e Redes de Distribuição de Energia Elétrica</v>
      </c>
      <c r="B26" s="8" t="s">
        <v>11</v>
      </c>
      <c r="C26" s="1" t="str">
        <f t="shared" si="0"/>
        <v>Construção e Manutenção de Estações e Redes de Distribuição de Energia Elétrica-BDI PAD</v>
      </c>
      <c r="D26" s="1"/>
      <c r="E26" s="5">
        <v>0.24</v>
      </c>
      <c r="F26" s="5">
        <v>0.25840000000000002</v>
      </c>
      <c r="G26" s="5">
        <v>0.27860000000000001</v>
      </c>
      <c r="H26" s="1"/>
      <c r="I26" s="46" t="s">
        <v>34</v>
      </c>
      <c r="J26" s="46"/>
      <c r="K26" s="46"/>
      <c r="L26" s="46"/>
      <c r="M26" s="14" t="s">
        <v>11</v>
      </c>
      <c r="N26" s="12">
        <f>IF($I$11=$A$58,0,ROUND((((1+N18+N19+N20)*(1+N21)*(1+N22)/(1-(N23+N24)))-1),4))</f>
        <v>0</v>
      </c>
      <c r="O26" s="15" t="str">
        <f>IF(OR($I$11=$A$59,$I$11=$A$58,AND(N26&gt;=P26, N26&lt;=R26)), "OK", "FORA DO INTERVALO")</f>
        <v>FORA DO INTERVALO</v>
      </c>
      <c r="P26" s="12">
        <f>IF($I$11=$A$58,0,VLOOKUP(CONCATENATE($I$11,"-",$M26),$C$2:$G$49,3,FALSE))</f>
        <v>0.2034</v>
      </c>
      <c r="Q26" s="12">
        <f>IF($I$11=$A$58,0,VLOOKUP(CONCATENATE($I$11,"-",$M26),$C$2:$G$49,4,FALSE))</f>
        <v>0.22120000000000001</v>
      </c>
      <c r="R26" s="12">
        <f>IF($I$11=$A$58,0,VLOOKUP(CONCATENATE($I$11,"-",$M26),$C$2:$G$49,5,FALSE))</f>
        <v>0.25</v>
      </c>
      <c r="S26" s="1"/>
      <c r="T26" s="16"/>
      <c r="U26" s="1"/>
    </row>
    <row r="27" spans="1:21" ht="28.5">
      <c r="A27" s="1" t="s">
        <v>35</v>
      </c>
      <c r="B27" s="4" t="s">
        <v>4</v>
      </c>
      <c r="C27" s="1" t="str">
        <f t="shared" si="0"/>
        <v>Obras Portuárias, Marítimas e Fluviais-AC</v>
      </c>
      <c r="D27" s="1"/>
      <c r="E27" s="5">
        <v>0.04</v>
      </c>
      <c r="F27" s="5">
        <v>5.5199999999999999E-2</v>
      </c>
      <c r="G27" s="5">
        <v>7.85E-2</v>
      </c>
      <c r="H27" s="1"/>
      <c r="I27" s="47" t="s">
        <v>36</v>
      </c>
      <c r="J27" s="47"/>
      <c r="K27" s="47"/>
      <c r="L27" s="47"/>
      <c r="M27" s="17" t="s">
        <v>37</v>
      </c>
      <c r="N27" s="18">
        <f>IF($I$11=$A$58,0,ROUND((((1+N18+N19+N20)*(1+N21)*(1+N22)/(1-(N23+N24+N25)))-1),4))</f>
        <v>0</v>
      </c>
      <c r="O27" s="19" t="str">
        <f>IF(Q11&lt;&gt;"Sim","",O26)</f>
        <v/>
      </c>
      <c r="P27" s="48"/>
      <c r="Q27" s="48"/>
      <c r="R27" s="48"/>
      <c r="S27" s="1"/>
      <c r="T27" s="16"/>
      <c r="U27" s="1"/>
    </row>
    <row r="28" spans="1:21">
      <c r="A28" s="1" t="str">
        <f>A27</f>
        <v>Obras Portuárias, Marítimas e Fluviais</v>
      </c>
      <c r="B28" s="4" t="s">
        <v>5</v>
      </c>
      <c r="C28" s="1" t="str">
        <f t="shared" si="0"/>
        <v>Obras Portuárias, Marítimas e Fluviais-SG</v>
      </c>
      <c r="D28" s="1"/>
      <c r="E28" s="5">
        <v>8.1000000000000013E-3</v>
      </c>
      <c r="F28" s="5">
        <v>1.2199999999999999E-2</v>
      </c>
      <c r="G28" s="5">
        <v>1.9900000000000001E-2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3.25">
      <c r="A29" s="1" t="str">
        <f>A28</f>
        <v>Obras Portuárias, Marítimas e Fluviais</v>
      </c>
      <c r="B29" s="4" t="s">
        <v>6</v>
      </c>
      <c r="C29" s="1" t="str">
        <f t="shared" si="0"/>
        <v>Obras Portuárias, Marítimas e Fluviais-R</v>
      </c>
      <c r="D29" s="1"/>
      <c r="E29" s="5">
        <v>1.46E-2</v>
      </c>
      <c r="F29" s="5">
        <v>2.3199999999999998E-2</v>
      </c>
      <c r="G29" s="5">
        <v>3.1600000000000003E-2</v>
      </c>
      <c r="H29" s="1"/>
      <c r="I29" s="20" t="str">
        <f>IF(V29,"X","")</f>
        <v/>
      </c>
      <c r="J29" s="49" t="s">
        <v>38</v>
      </c>
      <c r="K29" s="49"/>
      <c r="L29" s="49"/>
      <c r="M29" s="49"/>
      <c r="N29" s="49"/>
      <c r="O29" s="49"/>
      <c r="P29" s="49"/>
      <c r="Q29" s="49"/>
      <c r="R29" s="49"/>
      <c r="S29" s="1"/>
      <c r="T29" s="1"/>
      <c r="U29" s="1"/>
    </row>
    <row r="30" spans="1:21">
      <c r="A30" s="1"/>
      <c r="B30" s="4"/>
      <c r="C30" s="1"/>
      <c r="D30" s="1"/>
      <c r="E30" s="5"/>
      <c r="F30" s="5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4"/>
      <c r="C31" s="1"/>
      <c r="D31" s="1"/>
      <c r="E31" s="5"/>
      <c r="F31" s="5"/>
      <c r="G31" s="5"/>
      <c r="H31" s="1"/>
      <c r="I31" s="50" t="s">
        <v>39</v>
      </c>
      <c r="J31" s="50"/>
      <c r="K31" s="50"/>
      <c r="L31" s="50"/>
      <c r="M31" s="50"/>
      <c r="N31" s="50"/>
      <c r="O31" s="50"/>
      <c r="P31" s="50"/>
      <c r="Q31" s="50"/>
      <c r="R31" s="50"/>
      <c r="S31" s="1"/>
      <c r="T31" s="1"/>
      <c r="U31" s="1"/>
    </row>
    <row r="32" spans="1:21" ht="15.75">
      <c r="A32" s="1" t="str">
        <f>A29</f>
        <v>Obras Portuárias, Marítimas e Fluviais</v>
      </c>
      <c r="B32" s="4" t="s">
        <v>9</v>
      </c>
      <c r="C32" s="1" t="str">
        <f t="shared" si="0"/>
        <v>Obras Portuárias, Marítimas e Fluviais-DF</v>
      </c>
      <c r="D32" s="1"/>
      <c r="E32" s="5">
        <v>9.3999999999999986E-3</v>
      </c>
      <c r="F32" s="5">
        <v>1.0200000000000001E-2</v>
      </c>
      <c r="G32" s="5">
        <v>1.3300000000000001E-2</v>
      </c>
      <c r="H32" s="1"/>
      <c r="I32" s="21"/>
      <c r="J32" s="21"/>
      <c r="K32" s="21"/>
      <c r="L32" s="40" t="str">
        <f>IF(Q11="Sim","BDI.DES =","BDI.PAD =")</f>
        <v>BDI.PAD =</v>
      </c>
      <c r="M32" s="41" t="str">
        <f>IF($I$11=$A$59,"(1+K1+K2)*(1+K3)","(1+AC + S + R + G)*(1 + DF)*(1+L)")</f>
        <v>(1+AC + S + R + G)*(1 + DF)*(1+L)</v>
      </c>
      <c r="N32" s="41"/>
      <c r="O32" s="41"/>
      <c r="P32" s="42" t="s">
        <v>40</v>
      </c>
      <c r="Q32" s="21"/>
      <c r="R32" s="21"/>
      <c r="S32" s="1"/>
      <c r="T32" s="1"/>
      <c r="U32" s="1"/>
    </row>
    <row r="33" spans="1:21" ht="15.75">
      <c r="A33" s="1" t="str">
        <f>A32</f>
        <v>Obras Portuárias, Marítimas e Fluviais</v>
      </c>
      <c r="B33" s="4" t="s">
        <v>10</v>
      </c>
      <c r="C33" s="1" t="str">
        <f t="shared" si="0"/>
        <v>Obras Portuárias, Marítimas e Fluviais-L</v>
      </c>
      <c r="D33" s="1"/>
      <c r="E33" s="5">
        <v>7.1399999999999991E-2</v>
      </c>
      <c r="F33" s="5">
        <v>8.4000000000000005E-2</v>
      </c>
      <c r="G33" s="5">
        <v>0.1043</v>
      </c>
      <c r="H33" s="1"/>
      <c r="I33" s="21"/>
      <c r="J33" s="21"/>
      <c r="K33" s="21"/>
      <c r="L33" s="40"/>
      <c r="M33" s="44" t="str">
        <f>IF(Q11="Sim","(1-CP-ISS-CRPB)","(1-CP-ISS)")</f>
        <v>(1-CP-ISS)</v>
      </c>
      <c r="N33" s="44"/>
      <c r="O33" s="44"/>
      <c r="P33" s="43"/>
      <c r="Q33" s="21"/>
      <c r="R33" s="21"/>
      <c r="S33" s="1"/>
      <c r="T33" s="1"/>
      <c r="U33" s="1"/>
    </row>
    <row r="34" spans="1:21">
      <c r="A34" s="1" t="str">
        <f>A33</f>
        <v>Obras Portuárias, Marítimas e Fluviais</v>
      </c>
      <c r="B34" s="8" t="s">
        <v>11</v>
      </c>
      <c r="C34" s="1" t="str">
        <f t="shared" si="0"/>
        <v>Obras Portuárias, Marítimas e Fluviais-BDI PAD</v>
      </c>
      <c r="D34" s="1"/>
      <c r="E34" s="5">
        <v>0.22800000000000001</v>
      </c>
      <c r="F34" s="5">
        <v>0.27479999999999999</v>
      </c>
      <c r="G34" s="5">
        <v>0.3095</v>
      </c>
      <c r="H34" s="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"/>
      <c r="T34" s="1"/>
      <c r="U34" s="1"/>
    </row>
    <row r="35" spans="1:21">
      <c r="A35" s="1"/>
      <c r="B35" s="8"/>
      <c r="C35" s="1"/>
      <c r="D35" s="1"/>
      <c r="E35" s="5"/>
      <c r="F35" s="5"/>
      <c r="G35" s="5"/>
      <c r="H35" s="1"/>
      <c r="I35" s="45" t="str">
        <f>CONCATENATE("Declaro para os devidos fins que, conforme legislação tributária municipal, a base de cálculo para ",I11,", é de ",Q13*100,"%, com a respectiva alíquota de ",Q14*100,"%.")</f>
        <v>Declaro para os devidos fins que, conforme legislação tributária municipal, a base de cálculo para Construção e Reforma de Edifícios, é de 0%, com a respectiva alíquota de 0%.</v>
      </c>
      <c r="J35" s="45"/>
      <c r="K35" s="45"/>
      <c r="L35" s="45"/>
      <c r="M35" s="45"/>
      <c r="N35" s="45"/>
      <c r="O35" s="45"/>
      <c r="P35" s="45"/>
      <c r="Q35" s="45"/>
      <c r="R35" s="45"/>
      <c r="S35" s="1"/>
      <c r="T35" s="1"/>
      <c r="U35" s="1"/>
    </row>
    <row r="36" spans="1:21">
      <c r="A36" s="1"/>
      <c r="B36" s="8"/>
      <c r="C36" s="1"/>
      <c r="D36" s="1"/>
      <c r="E36" s="5"/>
      <c r="F36" s="5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8"/>
      <c r="C37" s="1"/>
      <c r="D37" s="1"/>
      <c r="E37" s="5"/>
      <c r="F37" s="5"/>
      <c r="G37" s="5"/>
      <c r="H37" s="1"/>
      <c r="I37" s="45" t="str">
        <f>CONCATENATE("Declaro para os devidos fins que o regime de Contribuição Previdenciária sobre a Receita Bruta adotado para elaboração do orçamento foi ",IF(Q11="Sim","COM","SEM")," Desoneração, e que esta é a alternativa mais adequada para a Administração Pública.")</f>
        <v>Declaro para os devidos fins que o regime de Contribuição Previdenciária sobre a Receita Bruta adotado para elaboração do orçamento foi SEM Desoneração, e que esta é a alternativa mais adequada para a Administração Pública.</v>
      </c>
      <c r="J37" s="45"/>
      <c r="K37" s="45"/>
      <c r="L37" s="45"/>
      <c r="M37" s="45"/>
      <c r="N37" s="45"/>
      <c r="O37" s="45"/>
      <c r="P37" s="45"/>
      <c r="Q37" s="45"/>
      <c r="R37" s="45"/>
      <c r="S37" s="1"/>
      <c r="T37" s="1"/>
      <c r="U37" s="1"/>
    </row>
    <row r="38" spans="1:21">
      <c r="A38" s="1" t="s">
        <v>41</v>
      </c>
      <c r="B38" s="4" t="s">
        <v>4</v>
      </c>
      <c r="C38" s="1" t="str">
        <f t="shared" si="0"/>
        <v>Fornecimento de Materiais e Equipamentos (aquisição indireta - em conjunto com licitação de obras)-AC</v>
      </c>
      <c r="D38" s="1"/>
      <c r="E38" s="5">
        <v>1.4999999999999999E-2</v>
      </c>
      <c r="F38" s="5">
        <v>3.4500000000000003E-2</v>
      </c>
      <c r="G38" s="5">
        <v>4.4900000000000002E-2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 t="str">
        <f>A38</f>
        <v>Fornecimento de Materiais e Equipamentos (aquisição indireta - em conjunto com licitação de obras)</v>
      </c>
      <c r="B39" s="4" t="s">
        <v>5</v>
      </c>
      <c r="C39" s="1" t="str">
        <f t="shared" si="0"/>
        <v>Fornecimento de Materiais e Equipamentos (aquisição indireta - em conjunto com licitação de obras)-SG</v>
      </c>
      <c r="D39" s="1"/>
      <c r="E39" s="5">
        <v>3.0000000000000001E-3</v>
      </c>
      <c r="F39" s="5">
        <v>4.7999999999999996E-3</v>
      </c>
      <c r="G39" s="5">
        <v>8.199999999999999E-3</v>
      </c>
      <c r="H39" s="1"/>
      <c r="I39" s="1" t="s">
        <v>42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 t="str">
        <f>A39</f>
        <v>Fornecimento de Materiais e Equipamentos (aquisição indireta - em conjunto com licitação de obras)</v>
      </c>
      <c r="B40" s="4" t="s">
        <v>6</v>
      </c>
      <c r="C40" s="1" t="str">
        <f t="shared" si="0"/>
        <v>Fornecimento de Materiais e Equipamentos (aquisição indireta - em conjunto com licitação de obras)-R</v>
      </c>
      <c r="D40" s="1"/>
      <c r="E40" s="5">
        <v>5.6000000000000008E-3</v>
      </c>
      <c r="F40" s="5">
        <v>8.5000000000000006E-3</v>
      </c>
      <c r="G40" s="5">
        <v>8.8999999999999999E-3</v>
      </c>
      <c r="H40" s="1"/>
      <c r="I40" s="33"/>
      <c r="J40" s="34"/>
      <c r="K40" s="34"/>
      <c r="L40" s="34"/>
      <c r="M40" s="34"/>
      <c r="N40" s="34"/>
      <c r="O40" s="34"/>
      <c r="P40" s="34"/>
      <c r="Q40" s="34"/>
      <c r="R40" s="35"/>
      <c r="S40" s="1"/>
      <c r="T40" s="1"/>
      <c r="U40" s="1"/>
    </row>
    <row r="41" spans="1:21">
      <c r="A41" s="1" t="str">
        <f>A40</f>
        <v>Fornecimento de Materiais e Equipamentos (aquisição indireta - em conjunto com licitação de obras)</v>
      </c>
      <c r="B41" s="4" t="s">
        <v>9</v>
      </c>
      <c r="C41" s="1" t="str">
        <f t="shared" si="0"/>
        <v>Fornecimento de Materiais e Equipamentos (aquisição indireta - em conjunto com licitação de obras)-DF</v>
      </c>
      <c r="D41" s="1"/>
      <c r="E41" s="5">
        <v>8.5000000000000006E-3</v>
      </c>
      <c r="F41" s="5">
        <v>8.5000000000000006E-3</v>
      </c>
      <c r="G41" s="5">
        <v>1.11E-2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 t="str">
        <f>A41</f>
        <v>Fornecimento de Materiais e Equipamentos (aquisição indireta - em conjunto com licitação de obras)</v>
      </c>
      <c r="B42" s="4" t="s">
        <v>10</v>
      </c>
      <c r="C42" s="1" t="str">
        <f t="shared" si="0"/>
        <v>Fornecimento de Materiais e Equipamentos (aquisição indireta - em conjunto com licitação de obras)-L</v>
      </c>
      <c r="D42" s="1"/>
      <c r="E42" s="5">
        <v>3.5000000000000003E-2</v>
      </c>
      <c r="F42" s="5">
        <v>5.1100000000000007E-2</v>
      </c>
      <c r="G42" s="5">
        <v>6.2199999999999998E-2</v>
      </c>
      <c r="H42" s="1"/>
      <c r="I42" s="36"/>
      <c r="J42" s="36"/>
      <c r="K42" s="36"/>
      <c r="L42" s="36"/>
      <c r="M42" s="1"/>
      <c r="N42" s="1"/>
      <c r="O42" s="37"/>
      <c r="P42" s="37"/>
      <c r="Q42" s="37"/>
      <c r="R42" s="37"/>
      <c r="S42" s="1"/>
      <c r="T42" s="1"/>
      <c r="U42" s="1"/>
    </row>
    <row r="43" spans="1:21">
      <c r="A43" s="1" t="str">
        <f>A42</f>
        <v>Fornecimento de Materiais e Equipamentos (aquisição indireta - em conjunto com licitação de obras)</v>
      </c>
      <c r="B43" s="8" t="s">
        <v>11</v>
      </c>
      <c r="C43" s="1" t="str">
        <f t="shared" si="0"/>
        <v>Fornecimento de Materiais e Equipamentos (aquisição indireta - em conjunto com licitação de obras)-BDI PAD</v>
      </c>
      <c r="D43" s="1"/>
      <c r="E43" s="5">
        <v>0.111</v>
      </c>
      <c r="F43" s="5">
        <v>0.14019999999999999</v>
      </c>
      <c r="G43" s="5">
        <v>0.16800000000000001</v>
      </c>
      <c r="H43" s="1"/>
      <c r="I43" s="38" t="s">
        <v>43</v>
      </c>
      <c r="J43" s="38"/>
      <c r="K43" s="38"/>
      <c r="L43" s="38"/>
      <c r="M43" s="1"/>
      <c r="N43" s="23"/>
      <c r="O43" s="24" t="s">
        <v>44</v>
      </c>
      <c r="P43" s="25"/>
      <c r="Q43" s="25"/>
      <c r="R43" s="25"/>
      <c r="S43" s="1"/>
      <c r="T43" s="1"/>
      <c r="U43" s="1"/>
    </row>
    <row r="44" spans="1:21">
      <c r="A44" s="1" t="s">
        <v>45</v>
      </c>
      <c r="B44" s="4" t="s">
        <v>46</v>
      </c>
      <c r="C44" s="1" t="str">
        <f t="shared" si="0"/>
        <v>Estudos e Projetos, Planos e Gerenciamento e outros correlatos-K1</v>
      </c>
      <c r="D44" s="1"/>
      <c r="E44" s="5" t="s">
        <v>26</v>
      </c>
      <c r="F44" s="5" t="s">
        <v>26</v>
      </c>
      <c r="G44" s="5" t="s">
        <v>26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 t="str">
        <f>A44</f>
        <v>Estudos e Projetos, Planos e Gerenciamento e outros correlatos</v>
      </c>
      <c r="B45" s="4" t="s">
        <v>47</v>
      </c>
      <c r="C45" s="1" t="str">
        <f t="shared" si="0"/>
        <v>Estudos e Projetos, Planos e Gerenciamento e outros correlatos-K2</v>
      </c>
      <c r="D45" s="1"/>
      <c r="E45" s="5" t="s">
        <v>26</v>
      </c>
      <c r="F45" s="5">
        <v>0.2</v>
      </c>
      <c r="G45" s="5" t="s">
        <v>26</v>
      </c>
      <c r="H45" s="1"/>
      <c r="I45" s="39"/>
      <c r="J45" s="39"/>
      <c r="K45" s="39"/>
      <c r="L45" s="39"/>
      <c r="M45" s="26"/>
      <c r="N45" s="26"/>
      <c r="O45" s="39"/>
      <c r="P45" s="39"/>
      <c r="Q45" s="39"/>
      <c r="R45" s="39"/>
      <c r="S45" s="1"/>
      <c r="T45" s="1"/>
      <c r="U45" s="1"/>
    </row>
    <row r="46" spans="1:21">
      <c r="A46" s="1" t="str">
        <f>A45</f>
        <v>Estudos e Projetos, Planos e Gerenciamento e outros correlatos</v>
      </c>
      <c r="B46" s="4" t="s">
        <v>48</v>
      </c>
      <c r="C46" s="1" t="str">
        <f t="shared" si="0"/>
        <v>Estudos e Projetos, Planos e Gerenciamento e outros correlatos-</v>
      </c>
      <c r="D46" s="1"/>
      <c r="E46" s="5" t="s">
        <v>26</v>
      </c>
      <c r="F46" s="5" t="s">
        <v>26</v>
      </c>
      <c r="G46" s="5" t="s">
        <v>26</v>
      </c>
      <c r="H46" s="1"/>
      <c r="I46" s="31" t="s">
        <v>49</v>
      </c>
      <c r="J46" s="31"/>
      <c r="K46" s="31"/>
      <c r="L46" s="31"/>
      <c r="M46" s="27"/>
      <c r="N46" s="27"/>
      <c r="O46" s="31" t="s">
        <v>50</v>
      </c>
      <c r="P46" s="31"/>
      <c r="Q46" s="31"/>
      <c r="R46" s="31"/>
      <c r="S46" s="1"/>
      <c r="T46" s="1"/>
      <c r="U46" s="1"/>
    </row>
    <row r="47" spans="1:21">
      <c r="A47" s="1" t="str">
        <f>A46</f>
        <v>Estudos e Projetos, Planos e Gerenciamento e outros correlatos</v>
      </c>
      <c r="B47" s="4" t="s">
        <v>48</v>
      </c>
      <c r="C47" s="1" t="str">
        <f t="shared" si="0"/>
        <v>Estudos e Projetos, Planos e Gerenciamento e outros correlatos-</v>
      </c>
      <c r="D47" s="1"/>
      <c r="E47" s="5" t="s">
        <v>26</v>
      </c>
      <c r="F47" s="5" t="s">
        <v>26</v>
      </c>
      <c r="G47" s="5" t="s">
        <v>26</v>
      </c>
      <c r="H47" s="1"/>
      <c r="I47" s="28" t="s">
        <v>51</v>
      </c>
      <c r="J47" s="30"/>
      <c r="K47" s="30"/>
      <c r="L47" s="30"/>
      <c r="M47" s="29"/>
      <c r="N47" s="29"/>
      <c r="O47" s="28" t="s">
        <v>51</v>
      </c>
      <c r="P47" s="32"/>
      <c r="Q47" s="32"/>
      <c r="R47" s="32"/>
      <c r="S47" s="1"/>
      <c r="T47" s="1"/>
      <c r="U47" s="1"/>
    </row>
    <row r="48" spans="1:21">
      <c r="A48" s="1" t="str">
        <f>A47</f>
        <v>Estudos e Projetos, Planos e Gerenciamento e outros correlatos</v>
      </c>
      <c r="B48" s="4" t="s">
        <v>52</v>
      </c>
      <c r="C48" s="1" t="str">
        <f t="shared" si="0"/>
        <v>Estudos e Projetos, Planos e Gerenciamento e outros correlatos-K3</v>
      </c>
      <c r="D48" s="1"/>
      <c r="E48" s="5" t="s">
        <v>26</v>
      </c>
      <c r="F48" s="5">
        <v>0.12</v>
      </c>
      <c r="G48" s="5" t="s">
        <v>26</v>
      </c>
      <c r="H48" s="1"/>
      <c r="I48" s="28" t="s">
        <v>53</v>
      </c>
      <c r="J48" s="30"/>
      <c r="K48" s="30"/>
      <c r="L48" s="30"/>
      <c r="M48" s="29"/>
      <c r="N48" s="29"/>
      <c r="O48" s="28" t="s">
        <v>54</v>
      </c>
      <c r="P48" s="32"/>
      <c r="Q48" s="32"/>
      <c r="R48" s="32"/>
      <c r="S48" s="1"/>
      <c r="T48" s="1"/>
      <c r="U48" s="1"/>
    </row>
    <row r="49" spans="1:21">
      <c r="A49" s="1" t="str">
        <f>A48</f>
        <v>Estudos e Projetos, Planos e Gerenciamento e outros correlatos</v>
      </c>
      <c r="B49" s="8" t="s">
        <v>11</v>
      </c>
      <c r="C49" s="1" t="str">
        <f t="shared" si="0"/>
        <v>Estudos e Projetos, Planos e Gerenciamento e outros correlatos-BDI PAD</v>
      </c>
      <c r="D49" s="1"/>
      <c r="E49" s="5" t="s">
        <v>26</v>
      </c>
      <c r="F49" s="5" t="s">
        <v>26</v>
      </c>
      <c r="G49" s="5" t="s">
        <v>26</v>
      </c>
      <c r="H49" s="1"/>
      <c r="I49" s="28" t="str">
        <f>[1]DADOS!A56</f>
        <v>CREA/CAU:</v>
      </c>
      <c r="J49" s="30"/>
      <c r="K49" s="30"/>
      <c r="L49" s="30"/>
      <c r="M49" s="29"/>
      <c r="N49" s="29"/>
      <c r="O49" s="29"/>
      <c r="P49" s="29"/>
      <c r="Q49" s="29"/>
      <c r="R49" s="29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28" t="str">
        <f>[1]DADOS!A57</f>
        <v>ART/RRT:</v>
      </c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</row>
  </sheetData>
  <mergeCells count="55">
    <mergeCell ref="I8:R8"/>
    <mergeCell ref="I4:J4"/>
    <mergeCell ref="K4:R4"/>
    <mergeCell ref="I5:J5"/>
    <mergeCell ref="K5:R5"/>
    <mergeCell ref="I7:R7"/>
    <mergeCell ref="I10:P10"/>
    <mergeCell ref="Q10:R10"/>
    <mergeCell ref="I11:P11"/>
    <mergeCell ref="Q11:R11"/>
    <mergeCell ref="I13:P13"/>
    <mergeCell ref="Q13:R13"/>
    <mergeCell ref="I14:P14"/>
    <mergeCell ref="Q14:R14"/>
    <mergeCell ref="I16:L17"/>
    <mergeCell ref="M16:M17"/>
    <mergeCell ref="N16:N17"/>
    <mergeCell ref="O16:O17"/>
    <mergeCell ref="P16:P17"/>
    <mergeCell ref="Q16:Q17"/>
    <mergeCell ref="R16:R17"/>
    <mergeCell ref="T16:U24"/>
    <mergeCell ref="I18:L18"/>
    <mergeCell ref="I19:L19"/>
    <mergeCell ref="I20:L20"/>
    <mergeCell ref="I21:L21"/>
    <mergeCell ref="I22:L22"/>
    <mergeCell ref="I23:L23"/>
    <mergeCell ref="I24:L24"/>
    <mergeCell ref="I37:R37"/>
    <mergeCell ref="I25:L25"/>
    <mergeCell ref="I26:L26"/>
    <mergeCell ref="I27:L27"/>
    <mergeCell ref="P27:R27"/>
    <mergeCell ref="J29:R29"/>
    <mergeCell ref="I31:R31"/>
    <mergeCell ref="L32:L33"/>
    <mergeCell ref="M32:O32"/>
    <mergeCell ref="P32:P33"/>
    <mergeCell ref="M33:O33"/>
    <mergeCell ref="I35:R35"/>
    <mergeCell ref="I40:R40"/>
    <mergeCell ref="I42:L42"/>
    <mergeCell ref="O42:R42"/>
    <mergeCell ref="I43:L43"/>
    <mergeCell ref="I45:L45"/>
    <mergeCell ref="O45:R45"/>
    <mergeCell ref="J49:L49"/>
    <mergeCell ref="J50:L50"/>
    <mergeCell ref="I46:L46"/>
    <mergeCell ref="O46:R46"/>
    <mergeCell ref="J47:L47"/>
    <mergeCell ref="P47:R47"/>
    <mergeCell ref="J48:L48"/>
    <mergeCell ref="P48:R48"/>
  </mergeCells>
  <conditionalFormatting sqref="O42">
    <cfRule type="expression" dxfId="8" priority="3" stopIfTrue="1">
      <formula>$O$42=""</formula>
    </cfRule>
  </conditionalFormatting>
  <conditionalFormatting sqref="O18:O27">
    <cfRule type="expression" dxfId="7" priority="8" stopIfTrue="1">
      <formula>AND(O18&lt;&gt;"OK",O18&lt;&gt;"-",O18&lt;&gt;"")</formula>
    </cfRule>
    <cfRule type="cellIs" dxfId="6" priority="9" stopIfTrue="1" operator="equal">
      <formula>"OK"</formula>
    </cfRule>
  </conditionalFormatting>
  <conditionalFormatting sqref="I26:N26">
    <cfRule type="expression" dxfId="5" priority="7" stopIfTrue="1">
      <formula>$Q$11="Não"</formula>
    </cfRule>
  </conditionalFormatting>
  <conditionalFormatting sqref="I27:N27">
    <cfRule type="expression" dxfId="4" priority="6" stopIfTrue="1">
      <formula>$Q$11="sim"</formula>
    </cfRule>
  </conditionalFormatting>
  <conditionalFormatting sqref="P27:R27">
    <cfRule type="expression" dxfId="3" priority="5" stopIfTrue="1">
      <formula>$Q$11="sim"</formula>
    </cfRule>
  </conditionalFormatting>
  <conditionalFormatting sqref="P47:R48">
    <cfRule type="expression" dxfId="2" priority="4" stopIfTrue="1">
      <formula>P47=""</formula>
    </cfRule>
  </conditionalFormatting>
  <conditionalFormatting sqref="I29:R29">
    <cfRule type="expression" dxfId="1" priority="2" stopIfTrue="1">
      <formula>AND(NOT($V$27),NOT($V$29))</formula>
    </cfRule>
  </conditionalFormatting>
  <conditionalFormatting sqref="P18:R26">
    <cfRule type="expression" dxfId="0" priority="1" stopIfTrue="1">
      <formula>$I$11=$A$58</formula>
    </cfRule>
  </conditionalFormatting>
  <dataValidations count="6">
    <dataValidation type="list" allowBlank="1" showInputMessage="1" showErrorMessage="1" sqref="I11:P11">
      <formula1>$A$52:$A$59</formula1>
    </dataValidation>
    <dataValidation operator="greaterThanOrEqual" allowBlank="1" showInputMessage="1" showErrorMessage="1" errorTitle="Erro de valores" error="Digite um valor igual a 0% ou 2%." sqref="N25"/>
    <dataValidation type="decimal" allowBlank="1" showInputMessage="1" showErrorMessage="1" errorTitle="Erro de valores" error="Digite um valor maior do que 0." sqref="N24">
      <formula1>0</formula1>
      <formula2>1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Q13:R13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Q14:R14">
      <formula1>0</formula1>
    </dataValidation>
    <dataValidation type="decimal" allowBlank="1" showInputMessage="1" showErrorMessage="1" errorTitle="Erro de valores" error="Digite um valor entre 0% e 100%" sqref="N18:N23">
      <formula1>0</formula1>
      <formula2>1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Machado</dc:creator>
  <cp:lastModifiedBy>ALINE</cp:lastModifiedBy>
  <dcterms:created xsi:type="dcterms:W3CDTF">2019-10-30T14:34:48Z</dcterms:created>
  <dcterms:modified xsi:type="dcterms:W3CDTF">2019-10-30T16:09:02Z</dcterms:modified>
</cp:coreProperties>
</file>